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4250" windowHeight="10500" activeTab="0"/>
  </bookViews>
  <sheets>
    <sheet name="Schlitzantenne" sheetId="1" r:id="rId1"/>
    <sheet name="DC0BV Version" sheetId="2" r:id="rId2"/>
  </sheets>
  <definedNames>
    <definedName name="AG">'Schlitzantenne'!$B$40</definedName>
    <definedName name="basic_disp">'Schlitzantenne'!$B$41</definedName>
    <definedName name="End_spac">'Schlitzantenne'!$B$20</definedName>
    <definedName name="Enter_f">'Schlitzantenne'!$D$7</definedName>
    <definedName name="Enter_slots">'Schlitzantenne'!#REF!</definedName>
    <definedName name="FGHz">'Schlitzantenne'!$B$7</definedName>
    <definedName name="G_1">'Schlitzantenne'!$B$31</definedName>
    <definedName name="G_2_slot">'Schlitzantenne'!$G$30</definedName>
    <definedName name="G_slot">'Schlitzantenne'!$B$30</definedName>
    <definedName name="lam_cutoff">'Schlitzantenne'!$B$25</definedName>
    <definedName name="lam_guide">'Schlitzantenne'!$B$26</definedName>
    <definedName name="lam_zero">'Schlitzantenne'!$B$24</definedName>
    <definedName name="minWGlen">'Schlitzantenne'!$D$13</definedName>
    <definedName name="ndisp">'Schlitzantenne'!$I$35</definedName>
    <definedName name="New_G1">'Schlitzantenne'!$G$31</definedName>
    <definedName name="New_slot_disp">'Schlitzantenne'!$G$35</definedName>
    <definedName name="New_slot_len">'Schlitzantenne'!$G$45</definedName>
    <definedName name="New_slot_width">'Schlitzantenne'!$I$18</definedName>
    <definedName name="New_Y">'Schlitzantenne'!$G$32</definedName>
    <definedName name="Nslots">'Schlitzantenne'!$B$10</definedName>
    <definedName name="Nslots_copy">'Schlitzantenne'!$B$10</definedName>
    <definedName name="Slot_disp">'Schlitzantenne'!$B$35</definedName>
    <definedName name="Slot_len">'Schlitzantenne'!$B$17</definedName>
    <definedName name="Slot_spac">'Schlitzantenne'!$B$19</definedName>
    <definedName name="Slot_width">'Schlitzantenne'!$B$18</definedName>
    <definedName name="Slot_wl">'Schlitzantenne'!$G$44</definedName>
    <definedName name="Sot_len">'Schlitzantenne'!$B$17</definedName>
    <definedName name="threequartspac">'Schlitzantenne'!$B$21</definedName>
    <definedName name="WG_a">'Schlitzantenne'!$B$8</definedName>
    <definedName name="WG_a_inch">'Schlitzantenne'!$D$8</definedName>
    <definedName name="WG_b">'Schlitzantenne'!$B$9</definedName>
    <definedName name="WG_b_inch">'Schlitzantenne'!$D$9</definedName>
    <definedName name="xx">'Schlitzantenne'!$B$10</definedName>
    <definedName name="Y">'Schlitzantenne'!$B$32</definedName>
  </definedNames>
  <calcPr fullCalcOnLoad="1"/>
</workbook>
</file>

<file path=xl/sharedStrings.xml><?xml version="1.0" encoding="utf-8"?>
<sst xmlns="http://schemas.openxmlformats.org/spreadsheetml/2006/main" count="161" uniqueCount="55">
  <si>
    <t>G1</t>
  </si>
  <si>
    <t>Y</t>
  </si>
  <si>
    <t>OFFSET</t>
  </si>
  <si>
    <t>AG</t>
  </si>
  <si>
    <t>Offset</t>
  </si>
  <si>
    <t>GHz</t>
  </si>
  <si>
    <t>mm</t>
  </si>
  <si>
    <t>inch</t>
  </si>
  <si>
    <t>Gslot</t>
  </si>
  <si>
    <t>Parameter</t>
  </si>
  <si>
    <t>INTERMEDIATE TERMS -- DON"T MESS WITH THESE!</t>
  </si>
  <si>
    <t>W1GHZ 2000</t>
  </si>
  <si>
    <t>Wavelength - free space</t>
  </si>
  <si>
    <t>Wavelength - cutoff</t>
  </si>
  <si>
    <t>Guide wavelength</t>
  </si>
  <si>
    <t>Offset calculation: Mathcad from KB7TRZ:</t>
  </si>
  <si>
    <t>Offset calculation: BASIC from W6OYJ:</t>
  </si>
  <si>
    <t>New offset calc from Elliott:</t>
  </si>
  <si>
    <t>Slot Length Calculation from Stegen curves:</t>
  </si>
  <si>
    <t>Slot Length</t>
  </si>
  <si>
    <t>enter taper admittance here</t>
  </si>
  <si>
    <t>Slot in wavelengths</t>
  </si>
  <si>
    <t>dB</t>
  </si>
  <si>
    <t>deg</t>
  </si>
  <si>
    <t xml:space="preserve"> </t>
  </si>
  <si>
    <t>updated 5/30/2002</t>
  </si>
  <si>
    <t>CORRECTED OFFSET **</t>
  </si>
  <si>
    <t>** correction from Petr Kauler kauler@volzny.cz</t>
  </si>
  <si>
    <t>* Correction tested on CNC machining and measurement by Dan Welch W6DFW</t>
  </si>
  <si>
    <t>*update 3/2009 - Offset calculation correction, 12/2012 - added Minimum waveguide length calculation</t>
  </si>
  <si>
    <t>Mimimum Waveguide length =</t>
  </si>
  <si>
    <t>Eingabe der Parameter</t>
  </si>
  <si>
    <t>errechnete Abmessungen</t>
  </si>
  <si>
    <t>Abstand von der Mitte</t>
  </si>
  <si>
    <t>Länge</t>
  </si>
  <si>
    <t>Breite</t>
  </si>
  <si>
    <t>Schlitzabstand</t>
  </si>
  <si>
    <t>End Abstand = 1/4 wave</t>
  </si>
  <si>
    <t>EndAbstand = 3/4 wave</t>
  </si>
  <si>
    <t>erwartete Werte</t>
  </si>
  <si>
    <t>metrisch</t>
  </si>
  <si>
    <t>Zoll</t>
  </si>
  <si>
    <t>http://www.funkbetrieb.de/schlitzstrahler.159.de.html?bab[idx]=0</t>
  </si>
  <si>
    <t>End Abstand vom Kurzschluss zur Mitte des letzten Schlitzes</t>
  </si>
  <si>
    <t>Frequenz</t>
  </si>
  <si>
    <t>Gewinn =</t>
  </si>
  <si>
    <t>Öffnungswinkel</t>
  </si>
  <si>
    <t xml:space="preserve">  </t>
  </si>
  <si>
    <t>Hohlleiterschlitzantennen Rechner</t>
  </si>
  <si>
    <t>Minimale Hohlleiterlänge</t>
  </si>
  <si>
    <r>
      <t>Holleiter Schmalseite</t>
    </r>
    <r>
      <rPr>
        <sz val="10"/>
        <rFont val="Arial"/>
        <family val="2"/>
      </rPr>
      <t xml:space="preserve"> (innen)</t>
    </r>
  </si>
  <si>
    <r>
      <t>Holleiter Breitseite</t>
    </r>
    <r>
      <rPr>
        <sz val="10"/>
        <rFont val="Arial"/>
        <family val="2"/>
      </rPr>
      <t xml:space="preserve">     (innen)</t>
    </r>
  </si>
  <si>
    <t>https://www.aluminium-online-shop.de/de/shop-aluminium-kleinstmengen/-Rechteckrohre---Vierkantrohre-_-20/index.html</t>
  </si>
  <si>
    <t>pro Seite</t>
  </si>
  <si>
    <r>
      <t>Anz Schlitze</t>
    </r>
    <r>
      <rPr>
        <sz val="10"/>
        <rFont val="Arial"/>
        <family val="2"/>
      </rPr>
      <t xml:space="preserve"> (hinten + vorne)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</si>
</sst>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0000"/>
    <numFmt numFmtId="175" formatCode="0.0"/>
    <numFmt numFmtId="176" formatCode="0.000000"/>
  </numFmts>
  <fonts count="34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name val="Arial"/>
      <family val="2"/>
    </font>
    <font>
      <sz val="10"/>
      <color indexed="14"/>
      <name val="Arial"/>
      <family val="2"/>
    </font>
    <font>
      <b/>
      <u val="single"/>
      <sz val="16"/>
      <name val="Arial"/>
      <family val="2"/>
    </font>
    <font>
      <b/>
      <i/>
      <sz val="12"/>
      <name val="Arial"/>
      <family val="2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i/>
      <u val="single"/>
      <sz val="10"/>
      <color indexed="40"/>
      <name val="Arial"/>
      <family val="0"/>
    </font>
    <font>
      <b/>
      <sz val="10"/>
      <color indexed="40"/>
      <name val="Arial"/>
      <family val="0"/>
    </font>
    <font>
      <sz val="10"/>
      <color indexed="40"/>
      <name val="Arial"/>
      <family val="0"/>
    </font>
    <font>
      <b/>
      <sz val="12"/>
      <color indexed="40"/>
      <name val="Arial"/>
      <family val="0"/>
    </font>
    <font>
      <b/>
      <i/>
      <sz val="10"/>
      <color indexed="57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6"/>
      <name val="Arial"/>
      <family val="0"/>
    </font>
    <font>
      <i/>
      <sz val="10"/>
      <color indexed="10"/>
      <name val="Arial"/>
      <family val="2"/>
    </font>
    <font>
      <b/>
      <i/>
      <u val="single"/>
      <sz val="10"/>
      <color indexed="14"/>
      <name val="Arial"/>
      <family val="0"/>
    </font>
    <font>
      <b/>
      <sz val="10"/>
      <color indexed="14"/>
      <name val="Arial"/>
      <family val="0"/>
    </font>
    <font>
      <b/>
      <sz val="12"/>
      <color indexed="14"/>
      <name val="Arial"/>
      <family val="0"/>
    </font>
    <font>
      <b/>
      <i/>
      <u val="single"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color indexed="57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right"/>
    </xf>
    <xf numFmtId="175" fontId="14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23" fillId="0" borderId="0" xfId="0" applyFont="1" applyAlignment="1">
      <alignment/>
    </xf>
    <xf numFmtId="173" fontId="14" fillId="0" borderId="0" xfId="0" applyNumberFormat="1" applyFont="1" applyAlignment="1">
      <alignment/>
    </xf>
    <xf numFmtId="0" fontId="28" fillId="0" borderId="1" xfId="0" applyFont="1" applyBorder="1" applyAlignment="1">
      <alignment/>
    </xf>
    <xf numFmtId="2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173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26" fillId="0" borderId="4" xfId="0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172" fontId="6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0" fontId="7" fillId="0" borderId="4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73" fontId="7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3" fontId="6" fillId="0" borderId="0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19" fillId="0" borderId="4" xfId="0" applyFont="1" applyBorder="1" applyAlignment="1">
      <alignment/>
    </xf>
    <xf numFmtId="2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173" fontId="22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1" fillId="0" borderId="4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14" fontId="0" fillId="0" borderId="0" xfId="0" applyNumberFormat="1" applyBorder="1" applyAlignment="1">
      <alignment/>
    </xf>
    <xf numFmtId="0" fontId="3" fillId="0" borderId="4" xfId="0" applyFont="1" applyBorder="1" applyAlignment="1">
      <alignment/>
    </xf>
    <xf numFmtId="0" fontId="2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5" fillId="0" borderId="4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175" fontId="26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15" fillId="0" borderId="5" xfId="0" applyFont="1" applyBorder="1" applyAlignment="1">
      <alignment/>
    </xf>
    <xf numFmtId="2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5" fillId="0" borderId="4" xfId="0" applyFont="1" applyBorder="1" applyAlignment="1">
      <alignment/>
    </xf>
    <xf numFmtId="2" fontId="20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/>
    </xf>
    <xf numFmtId="0" fontId="17" fillId="0" borderId="4" xfId="0" applyFont="1" applyBorder="1" applyAlignment="1">
      <alignment/>
    </xf>
    <xf numFmtId="2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173" fontId="18" fillId="0" borderId="0" xfId="0" applyNumberFormat="1" applyFont="1" applyBorder="1" applyAlignment="1">
      <alignment/>
    </xf>
    <xf numFmtId="2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73" fontId="17" fillId="0" borderId="0" xfId="0" applyNumberFormat="1" applyFont="1" applyBorder="1" applyAlignment="1">
      <alignment/>
    </xf>
    <xf numFmtId="0" fontId="18" fillId="0" borderId="5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6" xfId="0" applyBorder="1" applyAlignment="1">
      <alignment/>
    </xf>
    <xf numFmtId="2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17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9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8" fillId="0" borderId="4" xfId="0" applyFont="1" applyBorder="1" applyAlignment="1">
      <alignment/>
    </xf>
    <xf numFmtId="0" fontId="10" fillId="0" borderId="0" xfId="0" applyFont="1" applyBorder="1" applyAlignment="1">
      <alignment/>
    </xf>
    <xf numFmtId="0" fontId="24" fillId="0" borderId="4" xfId="0" applyFont="1" applyBorder="1" applyAlignment="1">
      <alignment/>
    </xf>
    <xf numFmtId="0" fontId="29" fillId="0" borderId="0" xfId="18" applyAlignment="1">
      <alignment/>
    </xf>
    <xf numFmtId="0" fontId="31" fillId="0" borderId="4" xfId="0" applyFont="1" applyBorder="1" applyAlignment="1">
      <alignment/>
    </xf>
    <xf numFmtId="173" fontId="32" fillId="0" borderId="0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0" fillId="0" borderId="0" xfId="0" applyAlignment="1">
      <alignment/>
    </xf>
    <xf numFmtId="0" fontId="26" fillId="0" borderId="0" xfId="0" applyFont="1" applyBorder="1" applyAlignment="1">
      <alignment/>
    </xf>
    <xf numFmtId="173" fontId="26" fillId="0" borderId="0" xfId="0" applyNumberFormat="1" applyFont="1" applyBorder="1" applyAlignment="1">
      <alignment/>
    </xf>
    <xf numFmtId="0" fontId="29" fillId="0" borderId="0" xfId="18" applyAlignment="1">
      <alignment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2</xdr:row>
      <xdr:rowOff>66675</xdr:rowOff>
    </xdr:from>
    <xdr:to>
      <xdr:col>6</xdr:col>
      <xdr:colOff>419100</xdr:colOff>
      <xdr:row>47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90525"/>
          <a:ext cx="4743450" cy="731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luminium-online-shop.de/de/shop-aluminium-kleinstmengen/-Rechteckrohre---Vierkantrohre-_-20/index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unkbetrieb.de/schlitzstrahler.159.de.html?bab%5bidx%5d=0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2"/>
  <sheetViews>
    <sheetView tabSelected="1" workbookViewId="0" topLeftCell="A1">
      <selection activeCell="A10" sqref="A10"/>
    </sheetView>
  </sheetViews>
  <sheetFormatPr defaultColWidth="11.421875" defaultRowHeight="12.75"/>
  <cols>
    <col min="1" max="1" width="26.00390625" style="0" customWidth="1"/>
    <col min="2" max="2" width="10.7109375" style="0" customWidth="1"/>
    <col min="3" max="3" width="4.28125" style="0" customWidth="1"/>
    <col min="4" max="4" width="8.140625" style="0" customWidth="1"/>
    <col min="5" max="5" width="4.421875" style="0" customWidth="1"/>
    <col min="6" max="6" width="3.8515625" style="0" customWidth="1"/>
    <col min="7" max="7" width="9.8515625" style="0" bestFit="1" customWidth="1"/>
    <col min="8" max="8" width="5.421875" style="0" customWidth="1"/>
    <col min="9" max="9" width="9.140625" style="0" customWidth="1"/>
    <col min="10" max="10" width="4.7109375" style="0" customWidth="1"/>
    <col min="11" max="16384" width="9.140625" style="0" customWidth="1"/>
  </cols>
  <sheetData>
    <row r="1" spans="1:11" ht="20.25">
      <c r="A1" s="86" t="s">
        <v>48</v>
      </c>
      <c r="B1" s="47"/>
      <c r="C1" s="87"/>
      <c r="D1" s="47"/>
      <c r="E1" s="47"/>
      <c r="F1" s="47"/>
      <c r="G1" s="47"/>
      <c r="H1" s="47"/>
      <c r="I1" s="47"/>
      <c r="J1" s="47"/>
      <c r="K1" s="48"/>
    </row>
    <row r="2" spans="1:11" ht="15">
      <c r="A2" s="88" t="s">
        <v>25</v>
      </c>
      <c r="B2" s="51"/>
      <c r="C2" s="51"/>
      <c r="D2" s="54"/>
      <c r="E2" s="51"/>
      <c r="F2" s="51"/>
      <c r="G2" s="89" t="s">
        <v>11</v>
      </c>
      <c r="H2" s="51"/>
      <c r="I2" s="51"/>
      <c r="J2" s="51"/>
      <c r="K2" s="52"/>
    </row>
    <row r="3" spans="1:11" ht="12.75">
      <c r="A3" s="90" t="s">
        <v>29</v>
      </c>
      <c r="B3" s="51"/>
      <c r="C3" s="51"/>
      <c r="D3" s="54"/>
      <c r="E3" s="51"/>
      <c r="F3" s="51"/>
      <c r="G3" s="51"/>
      <c r="H3" s="51"/>
      <c r="I3" s="51"/>
      <c r="J3" s="51"/>
      <c r="K3" s="52"/>
    </row>
    <row r="4" spans="1:11" ht="18">
      <c r="A4" s="49" t="s">
        <v>9</v>
      </c>
      <c r="B4" s="50" t="s">
        <v>40</v>
      </c>
      <c r="C4" s="50"/>
      <c r="D4" s="50" t="s">
        <v>41</v>
      </c>
      <c r="E4" s="50"/>
      <c r="F4" s="50"/>
      <c r="G4" s="50"/>
      <c r="H4" s="50"/>
      <c r="I4" s="50"/>
      <c r="J4" s="51"/>
      <c r="K4" s="52"/>
    </row>
    <row r="5" spans="1:11" ht="12.75">
      <c r="A5" s="53"/>
      <c r="B5" s="51"/>
      <c r="C5" s="51"/>
      <c r="D5" s="54"/>
      <c r="E5" s="51"/>
      <c r="F5" s="51"/>
      <c r="G5" s="51"/>
      <c r="H5" s="51"/>
      <c r="I5" s="51"/>
      <c r="J5" s="51"/>
      <c r="K5" s="52"/>
    </row>
    <row r="6" spans="1:11" ht="18">
      <c r="A6" s="55" t="s">
        <v>31</v>
      </c>
      <c r="B6" s="51"/>
      <c r="C6" s="51"/>
      <c r="D6" s="54"/>
      <c r="E6" s="51"/>
      <c r="F6" s="51"/>
      <c r="G6" s="51"/>
      <c r="H6" s="51"/>
      <c r="I6" s="51"/>
      <c r="J6" s="51"/>
      <c r="K6" s="52"/>
    </row>
    <row r="7" spans="1:11" ht="12.75">
      <c r="A7" s="28" t="s">
        <v>44</v>
      </c>
      <c r="B7" s="51">
        <v>10.14</v>
      </c>
      <c r="C7" s="51" t="s">
        <v>5</v>
      </c>
      <c r="D7" s="93" t="s">
        <v>24</v>
      </c>
      <c r="E7" s="51"/>
      <c r="F7" s="51"/>
      <c r="G7" s="56"/>
      <c r="H7" s="51"/>
      <c r="I7" s="51"/>
      <c r="J7" s="51"/>
      <c r="K7" s="52"/>
    </row>
    <row r="8" spans="1:11" ht="12.75">
      <c r="A8" s="28" t="s">
        <v>51</v>
      </c>
      <c r="B8" s="51">
        <v>25.4</v>
      </c>
      <c r="C8" s="51" t="s">
        <v>6</v>
      </c>
      <c r="D8" s="94" t="s">
        <v>24</v>
      </c>
      <c r="E8" s="51"/>
      <c r="F8" s="51"/>
      <c r="G8" s="42">
        <f>IF((lam_cutoff/lam_zero)&lt;1.27,"WARNING - waveguide too small",IF((lam_cutoff/lam_zero)&gt;1.9,"WARNING - waveguide too large",""))</f>
      </c>
      <c r="H8" s="95"/>
      <c r="I8" s="51"/>
      <c r="J8" s="51"/>
      <c r="K8" s="52"/>
    </row>
    <row r="9" spans="1:11" ht="12.75">
      <c r="A9" s="28" t="s">
        <v>50</v>
      </c>
      <c r="B9" s="51">
        <v>12.7</v>
      </c>
      <c r="C9" s="51" t="s">
        <v>6</v>
      </c>
      <c r="D9" s="94" t="s">
        <v>47</v>
      </c>
      <c r="E9" s="51"/>
      <c r="F9" s="51"/>
      <c r="G9" s="51"/>
      <c r="H9" s="51"/>
      <c r="I9" s="51"/>
      <c r="J9" s="51"/>
      <c r="K9" s="52"/>
    </row>
    <row r="10" spans="1:11" ht="15.75">
      <c r="A10" s="28" t="s">
        <v>54</v>
      </c>
      <c r="B10" s="51">
        <v>20</v>
      </c>
      <c r="C10" s="51"/>
      <c r="D10" s="101">
        <f>Nslots/2</f>
        <v>10</v>
      </c>
      <c r="E10" s="102" t="s">
        <v>53</v>
      </c>
      <c r="F10" s="57"/>
      <c r="G10" s="57"/>
      <c r="H10" s="51"/>
      <c r="I10" s="51"/>
      <c r="J10" s="51"/>
      <c r="K10" s="52"/>
    </row>
    <row r="11" spans="1:11" ht="15.75">
      <c r="A11" s="28"/>
      <c r="B11" s="51"/>
      <c r="C11" s="51"/>
      <c r="D11" s="58"/>
      <c r="E11" s="57"/>
      <c r="F11" s="57"/>
      <c r="G11" s="57"/>
      <c r="H11" s="51"/>
      <c r="I11" s="51"/>
      <c r="J11" s="51"/>
      <c r="K11" s="52"/>
    </row>
    <row r="12" spans="1:11" ht="15.75">
      <c r="A12" s="59" t="s">
        <v>39</v>
      </c>
      <c r="B12" s="96" t="s">
        <v>45</v>
      </c>
      <c r="C12" s="97"/>
      <c r="D12" s="62">
        <f>10*LOG((Nslots/2)*lam_guide/lam_zero)</f>
        <v>10.899607048009365</v>
      </c>
      <c r="E12" s="61" t="s">
        <v>22</v>
      </c>
      <c r="F12" s="63"/>
      <c r="G12" s="98" t="s">
        <v>46</v>
      </c>
      <c r="H12" s="97"/>
      <c r="I12" s="62">
        <f>50.7*lam_zero/((Nslots/2)*(lam_guide/2))</f>
        <v>8.242847217427999</v>
      </c>
      <c r="J12" s="61" t="s">
        <v>23</v>
      </c>
      <c r="K12" s="52"/>
    </row>
    <row r="13" spans="1:256" ht="15.75">
      <c r="A13" s="59" t="s">
        <v>49</v>
      </c>
      <c r="B13" s="96"/>
      <c r="C13" s="97"/>
      <c r="D13" s="62">
        <f>Slot_spac*(Nslots/2-1)+Slot_len+End_spac+threequartspac</f>
        <v>214.96645066753527</v>
      </c>
      <c r="E13" s="61" t="s">
        <v>6</v>
      </c>
      <c r="F13" s="63"/>
      <c r="G13" s="99"/>
      <c r="H13" s="97"/>
      <c r="I13" s="64"/>
      <c r="J13" s="60"/>
      <c r="K13" s="65"/>
      <c r="L13" s="9"/>
      <c r="M13" s="6"/>
      <c r="N13" s="7"/>
      <c r="O13" s="12"/>
      <c r="P13" s="6"/>
      <c r="Q13" s="5"/>
      <c r="R13" s="8"/>
      <c r="S13" s="6"/>
      <c r="T13" s="9">
        <f>Slot_spac*(Nslots/2-1)+Slot_len+End_spac+threequartspac</f>
        <v>214.96645066753527</v>
      </c>
      <c r="U13" s="6" t="s">
        <v>6</v>
      </c>
      <c r="V13" s="7"/>
      <c r="W13" s="12">
        <f>minWGlen/25.4</f>
        <v>8.463246089273042</v>
      </c>
      <c r="X13" s="6" t="s">
        <v>7</v>
      </c>
      <c r="Y13" s="5" t="s">
        <v>30</v>
      </c>
      <c r="Z13" s="8"/>
      <c r="AA13" s="6"/>
      <c r="AB13" s="9">
        <f>Slot_spac*(Nslots/2-1)+Slot_len+End_spac+threequartspac</f>
        <v>214.96645066753527</v>
      </c>
      <c r="AC13" s="6" t="s">
        <v>6</v>
      </c>
      <c r="AD13" s="7"/>
      <c r="AE13" s="12">
        <f>minWGlen/25.4</f>
        <v>8.463246089273042</v>
      </c>
      <c r="AF13" s="6" t="s">
        <v>7</v>
      </c>
      <c r="AG13" s="5" t="s">
        <v>30</v>
      </c>
      <c r="AH13" s="8"/>
      <c r="AI13" s="6"/>
      <c r="AJ13" s="9">
        <f>Slot_spac*(Nslots/2-1)+Slot_len+End_spac+threequartspac</f>
        <v>214.96645066753527</v>
      </c>
      <c r="AK13" s="6" t="s">
        <v>6</v>
      </c>
      <c r="AL13" s="7"/>
      <c r="AM13" s="12">
        <f>minWGlen/25.4</f>
        <v>8.463246089273042</v>
      </c>
      <c r="AN13" s="6" t="s">
        <v>7</v>
      </c>
      <c r="AO13" s="5" t="s">
        <v>30</v>
      </c>
      <c r="AP13" s="8"/>
      <c r="AQ13" s="6"/>
      <c r="AR13" s="9">
        <f>Slot_spac*(Nslots/2-1)+Slot_len+End_spac+threequartspac</f>
        <v>214.96645066753527</v>
      </c>
      <c r="AS13" s="6" t="s">
        <v>6</v>
      </c>
      <c r="AT13" s="7"/>
      <c r="AU13" s="12">
        <f>minWGlen/25.4</f>
        <v>8.463246089273042</v>
      </c>
      <c r="AV13" s="6" t="s">
        <v>7</v>
      </c>
      <c r="AW13" s="5" t="s">
        <v>30</v>
      </c>
      <c r="AX13" s="8"/>
      <c r="AY13" s="6"/>
      <c r="AZ13" s="9">
        <f>Slot_spac*(Nslots/2-1)+Slot_len+End_spac+threequartspac</f>
        <v>214.96645066753527</v>
      </c>
      <c r="BA13" s="6" t="s">
        <v>6</v>
      </c>
      <c r="BB13" s="7"/>
      <c r="BC13" s="12">
        <f>minWGlen/25.4</f>
        <v>8.463246089273042</v>
      </c>
      <c r="BD13" s="6" t="s">
        <v>7</v>
      </c>
      <c r="BE13" s="5" t="s">
        <v>30</v>
      </c>
      <c r="BF13" s="8"/>
      <c r="BG13" s="6"/>
      <c r="BH13" s="9">
        <f>Slot_spac*(Nslots/2-1)+Slot_len+End_spac+threequartspac</f>
        <v>214.96645066753527</v>
      </c>
      <c r="BI13" s="6" t="s">
        <v>6</v>
      </c>
      <c r="BJ13" s="7"/>
      <c r="BK13" s="12">
        <f>minWGlen/25.4</f>
        <v>8.463246089273042</v>
      </c>
      <c r="BL13" s="6" t="s">
        <v>7</v>
      </c>
      <c r="BM13" s="5" t="s">
        <v>30</v>
      </c>
      <c r="BN13" s="8"/>
      <c r="BO13" s="6"/>
      <c r="BP13" s="9">
        <f>Slot_spac*(Nslots/2-1)+Slot_len+End_spac+threequartspac</f>
        <v>214.96645066753527</v>
      </c>
      <c r="BQ13" s="6" t="s">
        <v>6</v>
      </c>
      <c r="BR13" s="7"/>
      <c r="BS13" s="12">
        <f>minWGlen/25.4</f>
        <v>8.463246089273042</v>
      </c>
      <c r="BT13" s="6" t="s">
        <v>7</v>
      </c>
      <c r="BU13" s="5" t="s">
        <v>30</v>
      </c>
      <c r="BV13" s="8"/>
      <c r="BW13" s="6"/>
      <c r="BX13" s="9">
        <f>Slot_spac*(Nslots/2-1)+Slot_len+End_spac+threequartspac</f>
        <v>214.96645066753527</v>
      </c>
      <c r="BY13" s="6" t="s">
        <v>6</v>
      </c>
      <c r="BZ13" s="7"/>
      <c r="CA13" s="12">
        <f>minWGlen/25.4</f>
        <v>8.463246089273042</v>
      </c>
      <c r="CB13" s="6" t="s">
        <v>7</v>
      </c>
      <c r="CC13" s="5" t="s">
        <v>30</v>
      </c>
      <c r="CD13" s="8"/>
      <c r="CE13" s="6"/>
      <c r="CF13" s="9">
        <f>Slot_spac*(Nslots/2-1)+Slot_len+End_spac+threequartspac</f>
        <v>214.96645066753527</v>
      </c>
      <c r="CG13" s="6" t="s">
        <v>6</v>
      </c>
      <c r="CH13" s="7"/>
      <c r="CI13" s="12">
        <f>minWGlen/25.4</f>
        <v>8.463246089273042</v>
      </c>
      <c r="CJ13" s="6" t="s">
        <v>7</v>
      </c>
      <c r="CK13" s="5" t="s">
        <v>30</v>
      </c>
      <c r="CL13" s="8"/>
      <c r="CM13" s="6"/>
      <c r="CN13" s="9">
        <f>Slot_spac*(Nslots/2-1)+Slot_len+End_spac+threequartspac</f>
        <v>214.96645066753527</v>
      </c>
      <c r="CO13" s="6" t="s">
        <v>6</v>
      </c>
      <c r="CP13" s="7"/>
      <c r="CQ13" s="12">
        <f>minWGlen/25.4</f>
        <v>8.463246089273042</v>
      </c>
      <c r="CR13" s="6" t="s">
        <v>7</v>
      </c>
      <c r="CS13" s="5" t="s">
        <v>30</v>
      </c>
      <c r="CT13" s="8"/>
      <c r="CU13" s="6"/>
      <c r="CV13" s="9">
        <f>Slot_spac*(Nslots/2-1)+Slot_len+End_spac+threequartspac</f>
        <v>214.96645066753527</v>
      </c>
      <c r="CW13" s="6" t="s">
        <v>6</v>
      </c>
      <c r="CX13" s="7"/>
      <c r="CY13" s="12">
        <f>minWGlen/25.4</f>
        <v>8.463246089273042</v>
      </c>
      <c r="CZ13" s="6" t="s">
        <v>7</v>
      </c>
      <c r="DA13" s="5" t="s">
        <v>30</v>
      </c>
      <c r="DB13" s="8"/>
      <c r="DC13" s="6"/>
      <c r="DD13" s="9">
        <f>Slot_spac*(Nslots/2-1)+Slot_len+End_spac+threequartspac</f>
        <v>214.96645066753527</v>
      </c>
      <c r="DE13" s="6" t="s">
        <v>6</v>
      </c>
      <c r="DF13" s="7"/>
      <c r="DG13" s="12">
        <f>minWGlen/25.4</f>
        <v>8.463246089273042</v>
      </c>
      <c r="DH13" s="6" t="s">
        <v>7</v>
      </c>
      <c r="DI13" s="5" t="s">
        <v>30</v>
      </c>
      <c r="DJ13" s="8"/>
      <c r="DK13" s="6"/>
      <c r="DL13" s="9">
        <f>Slot_spac*(Nslots/2-1)+Slot_len+End_spac+threequartspac</f>
        <v>214.96645066753527</v>
      </c>
      <c r="DM13" s="6" t="s">
        <v>6</v>
      </c>
      <c r="DN13" s="7"/>
      <c r="DO13" s="12">
        <f>minWGlen/25.4</f>
        <v>8.463246089273042</v>
      </c>
      <c r="DP13" s="6" t="s">
        <v>7</v>
      </c>
      <c r="DQ13" s="5" t="s">
        <v>30</v>
      </c>
      <c r="DR13" s="8"/>
      <c r="DS13" s="6"/>
      <c r="DT13" s="9">
        <f>Slot_spac*(Nslots/2-1)+Slot_len+End_spac+threequartspac</f>
        <v>214.96645066753527</v>
      </c>
      <c r="DU13" s="6" t="s">
        <v>6</v>
      </c>
      <c r="DV13" s="7"/>
      <c r="DW13" s="12">
        <f>minWGlen/25.4</f>
        <v>8.463246089273042</v>
      </c>
      <c r="DX13" s="6" t="s">
        <v>7</v>
      </c>
      <c r="DY13" s="5" t="s">
        <v>30</v>
      </c>
      <c r="DZ13" s="8"/>
      <c r="EA13" s="6"/>
      <c r="EB13" s="9">
        <f>Slot_spac*(Nslots/2-1)+Slot_len+End_spac+threequartspac</f>
        <v>214.96645066753527</v>
      </c>
      <c r="EC13" s="6" t="s">
        <v>6</v>
      </c>
      <c r="ED13" s="7"/>
      <c r="EE13" s="12">
        <f>minWGlen/25.4</f>
        <v>8.463246089273042</v>
      </c>
      <c r="EF13" s="6" t="s">
        <v>7</v>
      </c>
      <c r="EG13" s="5" t="s">
        <v>30</v>
      </c>
      <c r="EH13" s="8"/>
      <c r="EI13" s="6"/>
      <c r="EJ13" s="9">
        <f>Slot_spac*(Nslots/2-1)+Slot_len+End_spac+threequartspac</f>
        <v>214.96645066753527</v>
      </c>
      <c r="EK13" s="6" t="s">
        <v>6</v>
      </c>
      <c r="EL13" s="7"/>
      <c r="EM13" s="12">
        <f>minWGlen/25.4</f>
        <v>8.463246089273042</v>
      </c>
      <c r="EN13" s="6" t="s">
        <v>7</v>
      </c>
      <c r="EO13" s="5" t="s">
        <v>30</v>
      </c>
      <c r="EP13" s="8"/>
      <c r="EQ13" s="6"/>
      <c r="ER13" s="9">
        <f>Slot_spac*(Nslots/2-1)+Slot_len+End_spac+threequartspac</f>
        <v>214.96645066753527</v>
      </c>
      <c r="ES13" s="6" t="s">
        <v>6</v>
      </c>
      <c r="ET13" s="7"/>
      <c r="EU13" s="12">
        <f>minWGlen/25.4</f>
        <v>8.463246089273042</v>
      </c>
      <c r="EV13" s="6" t="s">
        <v>7</v>
      </c>
      <c r="EW13" s="5" t="s">
        <v>30</v>
      </c>
      <c r="EX13" s="8"/>
      <c r="EY13" s="6"/>
      <c r="EZ13" s="9">
        <f>Slot_spac*(Nslots/2-1)+Slot_len+End_spac+threequartspac</f>
        <v>214.96645066753527</v>
      </c>
      <c r="FA13" s="6" t="s">
        <v>6</v>
      </c>
      <c r="FB13" s="7"/>
      <c r="FC13" s="12">
        <f>minWGlen/25.4</f>
        <v>8.463246089273042</v>
      </c>
      <c r="FD13" s="6" t="s">
        <v>7</v>
      </c>
      <c r="FE13" s="5" t="s">
        <v>30</v>
      </c>
      <c r="FF13" s="8"/>
      <c r="FG13" s="6"/>
      <c r="FH13" s="9">
        <f>Slot_spac*(Nslots/2-1)+Slot_len+End_spac+threequartspac</f>
        <v>214.96645066753527</v>
      </c>
      <c r="FI13" s="6" t="s">
        <v>6</v>
      </c>
      <c r="FJ13" s="7"/>
      <c r="FK13" s="12">
        <f>minWGlen/25.4</f>
        <v>8.463246089273042</v>
      </c>
      <c r="FL13" s="6" t="s">
        <v>7</v>
      </c>
      <c r="FM13" s="5" t="s">
        <v>30</v>
      </c>
      <c r="FN13" s="8"/>
      <c r="FO13" s="6"/>
      <c r="FP13" s="9">
        <f>Slot_spac*(Nslots/2-1)+Slot_len+End_spac+threequartspac</f>
        <v>214.96645066753527</v>
      </c>
      <c r="FQ13" s="6" t="s">
        <v>6</v>
      </c>
      <c r="FR13" s="7"/>
      <c r="FS13" s="12">
        <f>minWGlen/25.4</f>
        <v>8.463246089273042</v>
      </c>
      <c r="FT13" s="6" t="s">
        <v>7</v>
      </c>
      <c r="FU13" s="5" t="s">
        <v>30</v>
      </c>
      <c r="FV13" s="8"/>
      <c r="FW13" s="6"/>
      <c r="FX13" s="9">
        <f>Slot_spac*(Nslots/2-1)+Slot_len+End_spac+threequartspac</f>
        <v>214.96645066753527</v>
      </c>
      <c r="FY13" s="6" t="s">
        <v>6</v>
      </c>
      <c r="FZ13" s="7"/>
      <c r="GA13" s="12">
        <f>minWGlen/25.4</f>
        <v>8.463246089273042</v>
      </c>
      <c r="GB13" s="6" t="s">
        <v>7</v>
      </c>
      <c r="GC13" s="5" t="s">
        <v>30</v>
      </c>
      <c r="GD13" s="8"/>
      <c r="GE13" s="6"/>
      <c r="GF13" s="9">
        <f>Slot_spac*(Nslots/2-1)+Slot_len+End_spac+threequartspac</f>
        <v>214.96645066753527</v>
      </c>
      <c r="GG13" s="6" t="s">
        <v>6</v>
      </c>
      <c r="GH13" s="7"/>
      <c r="GI13" s="12">
        <f>minWGlen/25.4</f>
        <v>8.463246089273042</v>
      </c>
      <c r="GJ13" s="6" t="s">
        <v>7</v>
      </c>
      <c r="GK13" s="5" t="s">
        <v>30</v>
      </c>
      <c r="GL13" s="8"/>
      <c r="GM13" s="6"/>
      <c r="GN13" s="9">
        <f>Slot_spac*(Nslots/2-1)+Slot_len+End_spac+threequartspac</f>
        <v>214.96645066753527</v>
      </c>
      <c r="GO13" s="6" t="s">
        <v>6</v>
      </c>
      <c r="GP13" s="7"/>
      <c r="GQ13" s="12">
        <f>minWGlen/25.4</f>
        <v>8.463246089273042</v>
      </c>
      <c r="GR13" s="6" t="s">
        <v>7</v>
      </c>
      <c r="GS13" s="5" t="s">
        <v>30</v>
      </c>
      <c r="GT13" s="8"/>
      <c r="GU13" s="6"/>
      <c r="GV13" s="9">
        <f>Slot_spac*(Nslots/2-1)+Slot_len+End_spac+threequartspac</f>
        <v>214.96645066753527</v>
      </c>
      <c r="GW13" s="6" t="s">
        <v>6</v>
      </c>
      <c r="GX13" s="7"/>
      <c r="GY13" s="12">
        <f>minWGlen/25.4</f>
        <v>8.463246089273042</v>
      </c>
      <c r="GZ13" s="6" t="s">
        <v>7</v>
      </c>
      <c r="HA13" s="5" t="s">
        <v>30</v>
      </c>
      <c r="HB13" s="8"/>
      <c r="HC13" s="6"/>
      <c r="HD13" s="9">
        <f>Slot_spac*(Nslots/2-1)+Slot_len+End_spac+threequartspac</f>
        <v>214.96645066753527</v>
      </c>
      <c r="HE13" s="6" t="s">
        <v>6</v>
      </c>
      <c r="HF13" s="7"/>
      <c r="HG13" s="12">
        <f>minWGlen/25.4</f>
        <v>8.463246089273042</v>
      </c>
      <c r="HH13" s="6" t="s">
        <v>7</v>
      </c>
      <c r="HI13" s="5" t="s">
        <v>30</v>
      </c>
      <c r="HJ13" s="8"/>
      <c r="HK13" s="6"/>
      <c r="HL13" s="9">
        <f>Slot_spac*(Nslots/2-1)+Slot_len+End_spac+threequartspac</f>
        <v>214.96645066753527</v>
      </c>
      <c r="HM13" s="6" t="s">
        <v>6</v>
      </c>
      <c r="HN13" s="7"/>
      <c r="HO13" s="12">
        <f>minWGlen/25.4</f>
        <v>8.463246089273042</v>
      </c>
      <c r="HP13" s="6" t="s">
        <v>7</v>
      </c>
      <c r="HQ13" s="5" t="s">
        <v>30</v>
      </c>
      <c r="HR13" s="8"/>
      <c r="HS13" s="6"/>
      <c r="HT13" s="9">
        <f>Slot_spac*(Nslots/2-1)+Slot_len+End_spac+threequartspac</f>
        <v>214.96645066753527</v>
      </c>
      <c r="HU13" s="6" t="s">
        <v>6</v>
      </c>
      <c r="HV13" s="7"/>
      <c r="HW13" s="12">
        <f>minWGlen/25.4</f>
        <v>8.463246089273042</v>
      </c>
      <c r="HX13" s="6" t="s">
        <v>7</v>
      </c>
      <c r="HY13" s="5" t="s">
        <v>30</v>
      </c>
      <c r="HZ13" s="8"/>
      <c r="IA13" s="6"/>
      <c r="IB13" s="9">
        <f>Slot_spac*(Nslots/2-1)+Slot_len+End_spac+threequartspac</f>
        <v>214.96645066753527</v>
      </c>
      <c r="IC13" s="6" t="s">
        <v>6</v>
      </c>
      <c r="ID13" s="7"/>
      <c r="IE13" s="12">
        <f>minWGlen/25.4</f>
        <v>8.463246089273042</v>
      </c>
      <c r="IF13" s="6" t="s">
        <v>7</v>
      </c>
      <c r="IG13" s="5" t="s">
        <v>30</v>
      </c>
      <c r="IH13" s="8"/>
      <c r="II13" s="6"/>
      <c r="IJ13" s="9">
        <f>Slot_spac*(Nslots/2-1)+Slot_len+End_spac+threequartspac</f>
        <v>214.96645066753527</v>
      </c>
      <c r="IK13" s="6" t="s">
        <v>6</v>
      </c>
      <c r="IL13" s="7"/>
      <c r="IM13" s="12">
        <f>minWGlen/25.4</f>
        <v>8.463246089273042</v>
      </c>
      <c r="IN13" s="6" t="s">
        <v>7</v>
      </c>
      <c r="IO13" s="5" t="s">
        <v>30</v>
      </c>
      <c r="IP13" s="8"/>
      <c r="IQ13" s="6"/>
      <c r="IR13" s="9">
        <f>Slot_spac*(Nslots/2-1)+Slot_len+End_spac+threequartspac</f>
        <v>214.96645066753527</v>
      </c>
      <c r="IS13" s="6" t="s">
        <v>6</v>
      </c>
      <c r="IT13" s="7"/>
      <c r="IU13" s="12">
        <f>minWGlen/25.4</f>
        <v>8.463246089273042</v>
      </c>
      <c r="IV13" s="6" t="s">
        <v>7</v>
      </c>
    </row>
    <row r="14" spans="1:11" ht="12.75">
      <c r="A14" s="53"/>
      <c r="B14" s="51"/>
      <c r="C14" s="51"/>
      <c r="D14" s="51"/>
      <c r="E14" s="51"/>
      <c r="F14" s="51"/>
      <c r="G14" s="51"/>
      <c r="H14" s="51"/>
      <c r="I14" s="51"/>
      <c r="J14" s="51"/>
      <c r="K14" s="52"/>
    </row>
    <row r="15" spans="1:11" ht="15.75">
      <c r="A15" s="92" t="s">
        <v>32</v>
      </c>
      <c r="B15" s="66"/>
      <c r="C15" s="51"/>
      <c r="D15" s="67"/>
      <c r="E15" s="51"/>
      <c r="F15" s="51"/>
      <c r="G15" s="51"/>
      <c r="H15" s="51"/>
      <c r="I15" s="51"/>
      <c r="J15" s="51"/>
      <c r="K15" s="52"/>
    </row>
    <row r="16" spans="1:11" s="4" customFormat="1" ht="12.75">
      <c r="A16" s="68" t="s">
        <v>33</v>
      </c>
      <c r="B16" s="69">
        <f>IF((lam_cutoff/lam_zero)&lt;1.27,"WARNING - waveguide too small",IF((lam_cutoff/lam_zero)&gt;1.9,"WARNING - waveguide too large",Slot_disp))</f>
        <v>2.755334649876961</v>
      </c>
      <c r="C16" s="51" t="s">
        <v>6</v>
      </c>
      <c r="D16" s="67"/>
      <c r="E16" s="51"/>
      <c r="F16" s="22"/>
      <c r="G16" s="70"/>
      <c r="H16" s="32"/>
      <c r="I16" s="71"/>
      <c r="J16" s="32"/>
      <c r="K16" s="23"/>
    </row>
    <row r="17" spans="1:11" ht="12.75">
      <c r="A17" s="68" t="s">
        <v>34</v>
      </c>
      <c r="B17" s="66">
        <f>lam_zero/2</f>
        <v>14.792899408284024</v>
      </c>
      <c r="C17" s="51" t="s">
        <v>6</v>
      </c>
      <c r="D17" s="67"/>
      <c r="E17" s="51"/>
      <c r="F17" s="51"/>
      <c r="G17" s="70"/>
      <c r="H17" s="32"/>
      <c r="I17" s="71"/>
      <c r="J17" s="32"/>
      <c r="K17" s="52"/>
    </row>
    <row r="18" spans="1:11" ht="12.75">
      <c r="A18" s="68" t="s">
        <v>35</v>
      </c>
      <c r="B18" s="66">
        <f>lam_guide/20</f>
        <v>1.8197595569022842</v>
      </c>
      <c r="C18" s="51" t="s">
        <v>6</v>
      </c>
      <c r="D18" s="67"/>
      <c r="E18" s="51"/>
      <c r="F18" s="51"/>
      <c r="G18" s="70"/>
      <c r="H18" s="32"/>
      <c r="I18" s="71"/>
      <c r="J18" s="32"/>
      <c r="K18" s="52"/>
    </row>
    <row r="19" spans="1:11" ht="12.75">
      <c r="A19" s="68" t="s">
        <v>36</v>
      </c>
      <c r="B19" s="66">
        <f>lam_guide/2</f>
        <v>18.19759556902284</v>
      </c>
      <c r="C19" s="51" t="s">
        <v>6</v>
      </c>
      <c r="D19" s="67"/>
      <c r="E19" s="51"/>
      <c r="F19" s="67"/>
      <c r="G19" s="70"/>
      <c r="H19" s="32"/>
      <c r="I19" s="71"/>
      <c r="J19" s="32"/>
      <c r="K19" s="52"/>
    </row>
    <row r="20" spans="1:11" ht="12.75">
      <c r="A20" s="68" t="s">
        <v>37</v>
      </c>
      <c r="B20" s="66">
        <f>lam_guide/4</f>
        <v>9.09879778451142</v>
      </c>
      <c r="C20" s="51" t="s">
        <v>6</v>
      </c>
      <c r="D20" s="67"/>
      <c r="E20" s="51"/>
      <c r="F20" s="51"/>
      <c r="G20" s="70"/>
      <c r="H20" s="32"/>
      <c r="I20" s="71"/>
      <c r="J20" s="32"/>
      <c r="K20" s="52"/>
    </row>
    <row r="21" spans="1:11" ht="12.75">
      <c r="A21" s="68" t="s">
        <v>38</v>
      </c>
      <c r="B21" s="66">
        <f>3*lam_guide/4</f>
        <v>27.296393353534263</v>
      </c>
      <c r="C21" s="51" t="s">
        <v>6</v>
      </c>
      <c r="D21" s="67"/>
      <c r="E21" s="51"/>
      <c r="F21" s="51"/>
      <c r="G21" s="70"/>
      <c r="H21" s="32"/>
      <c r="I21" s="71"/>
      <c r="J21" s="32"/>
      <c r="K21" s="52"/>
    </row>
    <row r="22" spans="1:11" s="10" customFormat="1" ht="12.75">
      <c r="A22" s="72" t="s">
        <v>43</v>
      </c>
      <c r="B22" s="73"/>
      <c r="C22" s="74"/>
      <c r="D22" s="75"/>
      <c r="E22" s="74"/>
      <c r="F22" s="74"/>
      <c r="G22" s="76"/>
      <c r="H22" s="77"/>
      <c r="I22" s="78"/>
      <c r="J22" s="77"/>
      <c r="K22" s="79"/>
    </row>
    <row r="23" spans="1:11" ht="12.75">
      <c r="A23" s="53"/>
      <c r="B23" s="51"/>
      <c r="C23" s="51"/>
      <c r="D23" s="51"/>
      <c r="E23" s="51"/>
      <c r="F23" s="51"/>
      <c r="G23" s="80">
        <f>IF(New_slot_disp&lt;0.5*$G18,"WARNING - slot overlaps centerline","")</f>
      </c>
      <c r="H23" s="51"/>
      <c r="I23" s="51"/>
      <c r="J23" s="51"/>
      <c r="K23" s="52"/>
    </row>
    <row r="24" spans="1:11" ht="12.75">
      <c r="A24" s="53" t="s">
        <v>12</v>
      </c>
      <c r="B24" s="66">
        <f>300/FGHz</f>
        <v>29.585798816568047</v>
      </c>
      <c r="C24" s="51" t="s">
        <v>6</v>
      </c>
      <c r="D24" s="67"/>
      <c r="E24" s="51"/>
      <c r="F24" s="51"/>
      <c r="G24" s="51"/>
      <c r="H24" s="51"/>
      <c r="I24" s="51"/>
      <c r="J24" s="51"/>
      <c r="K24" s="52"/>
    </row>
    <row r="25" spans="1:11" ht="12.75">
      <c r="A25" s="53" t="s">
        <v>13</v>
      </c>
      <c r="B25" s="66">
        <f>2*WG_a</f>
        <v>50.8</v>
      </c>
      <c r="C25" s="51" t="s">
        <v>6</v>
      </c>
      <c r="D25" s="67"/>
      <c r="E25" s="51"/>
      <c r="F25" s="51"/>
      <c r="G25" s="51"/>
      <c r="H25" s="51"/>
      <c r="I25" s="51"/>
      <c r="J25" s="51"/>
      <c r="K25" s="52"/>
    </row>
    <row r="26" spans="1:11" ht="12.75">
      <c r="A26" s="53" t="s">
        <v>14</v>
      </c>
      <c r="B26" s="66">
        <f>1/SQRT(((1/lam_zero)^2)-((1/lam_cutoff)^2))</f>
        <v>36.39519113804568</v>
      </c>
      <c r="C26" s="51" t="s">
        <v>6</v>
      </c>
      <c r="D26" s="67"/>
      <c r="E26" s="51"/>
      <c r="F26" s="51"/>
      <c r="G26" s="51"/>
      <c r="H26" s="51"/>
      <c r="I26" s="51"/>
      <c r="J26" s="51"/>
      <c r="K26" s="52"/>
    </row>
    <row r="27" spans="1:11" ht="13.5" thickBot="1">
      <c r="A27" s="81"/>
      <c r="B27" s="82"/>
      <c r="C27" s="83"/>
      <c r="D27" s="84"/>
      <c r="E27" s="83"/>
      <c r="F27" s="83"/>
      <c r="G27" s="83"/>
      <c r="H27" s="83"/>
      <c r="I27" s="83"/>
      <c r="J27" s="83"/>
      <c r="K27" s="85"/>
    </row>
    <row r="28" spans="2:4" ht="13.5" thickBot="1">
      <c r="B28" s="3"/>
      <c r="D28" s="2"/>
    </row>
    <row r="29" spans="1:11" ht="12.75">
      <c r="A29" s="13" t="s">
        <v>10</v>
      </c>
      <c r="B29" s="14"/>
      <c r="C29" s="15"/>
      <c r="D29" s="16"/>
      <c r="E29" s="15"/>
      <c r="F29" s="15"/>
      <c r="G29" s="15"/>
      <c r="H29" s="15"/>
      <c r="I29" s="15"/>
      <c r="J29" s="15"/>
      <c r="K29" s="17"/>
    </row>
    <row r="30" spans="1:11" ht="12.75">
      <c r="A30" s="18" t="s">
        <v>8</v>
      </c>
      <c r="B30" s="19">
        <f>1/Nslots</f>
        <v>0.05</v>
      </c>
      <c r="C30" s="19"/>
      <c r="D30" s="19"/>
      <c r="E30" s="19"/>
      <c r="F30" s="19"/>
      <c r="G30" s="20">
        <f>1/Nslots</f>
        <v>0.05</v>
      </c>
      <c r="H30" s="21" t="s">
        <v>20</v>
      </c>
      <c r="I30" s="22"/>
      <c r="J30" s="22"/>
      <c r="K30" s="23"/>
    </row>
    <row r="31" spans="1:11" ht="12.75">
      <c r="A31" s="24" t="s">
        <v>0</v>
      </c>
      <c r="B31" s="19">
        <f>2.09*(lam_guide/lam_zero)*(WG_a/WG_b)*(COS(PI()*lam_zero/2/lam_guide)^2)</f>
        <v>0.4314850476522457</v>
      </c>
      <c r="C31" s="19"/>
      <c r="D31" s="19"/>
      <c r="E31" s="19"/>
      <c r="F31" s="19"/>
      <c r="G31" s="25">
        <f>2.09*(lam_guide/lam_zero)*(WG_a/WG_b)*(COS(0.464*PI()*lam_zero/lam_guide)-COS(0.464*PI()))^2</f>
        <v>0.3569406282398836</v>
      </c>
      <c r="H31" s="22"/>
      <c r="I31" s="22"/>
      <c r="J31" s="22"/>
      <c r="K31" s="23"/>
    </row>
    <row r="32" spans="1:11" ht="12.75">
      <c r="A32" s="24" t="s">
        <v>1</v>
      </c>
      <c r="B32" s="19">
        <f>G_slot/G_1</f>
        <v>0.11587887059367438</v>
      </c>
      <c r="C32" s="19"/>
      <c r="D32" s="19"/>
      <c r="E32" s="19"/>
      <c r="F32" s="19"/>
      <c r="G32" s="25">
        <f>G_2_slot/New_G1</f>
        <v>0.14007931864342793</v>
      </c>
      <c r="H32" s="22"/>
      <c r="I32" s="22"/>
      <c r="J32" s="22"/>
      <c r="K32" s="23"/>
    </row>
    <row r="33" spans="1:11" ht="12.75">
      <c r="A33" s="24"/>
      <c r="B33" s="26"/>
      <c r="C33" s="22"/>
      <c r="D33" s="27"/>
      <c r="E33" s="22"/>
      <c r="F33" s="22"/>
      <c r="G33" s="22"/>
      <c r="H33" s="22"/>
      <c r="I33" s="22"/>
      <c r="J33" s="22"/>
      <c r="K33" s="23"/>
    </row>
    <row r="34" spans="1:11" s="1" customFormat="1" ht="15.75">
      <c r="A34" s="28" t="s">
        <v>15</v>
      </c>
      <c r="B34" s="29"/>
      <c r="C34" s="30"/>
      <c r="D34" s="31"/>
      <c r="E34" s="30"/>
      <c r="F34" s="30"/>
      <c r="G34" s="32" t="s">
        <v>17</v>
      </c>
      <c r="H34" s="32"/>
      <c r="I34" s="32"/>
      <c r="J34" s="32"/>
      <c r="K34" s="33"/>
    </row>
    <row r="35" spans="1:11" ht="12.75">
      <c r="A35" s="24" t="s">
        <v>2</v>
      </c>
      <c r="B35" s="26">
        <f>(WG_a/PI())*SQRT(ASIN(Y))</f>
        <v>2.755334649876961</v>
      </c>
      <c r="C35" s="22" t="s">
        <v>6</v>
      </c>
      <c r="D35" s="27"/>
      <c r="E35" s="22"/>
      <c r="F35" s="22"/>
      <c r="G35" s="34">
        <f>(WG_a/PI())*SQRT(ASIN(New_Y))</f>
        <v>3.031001639603635</v>
      </c>
      <c r="H35" s="35" t="s">
        <v>6</v>
      </c>
      <c r="I35" s="36"/>
      <c r="J35" s="35"/>
      <c r="K35" s="37"/>
    </row>
    <row r="36" spans="1:11" s="11" customFormat="1" ht="20.25">
      <c r="A36" s="38" t="s">
        <v>26</v>
      </c>
      <c r="B36" s="26"/>
      <c r="C36" s="22"/>
      <c r="D36" s="27"/>
      <c r="E36" s="22"/>
      <c r="F36" s="22"/>
      <c r="G36" s="22"/>
      <c r="H36" s="22"/>
      <c r="I36" s="22"/>
      <c r="J36" s="22"/>
      <c r="K36" s="37"/>
    </row>
    <row r="37" spans="1:11" s="11" customFormat="1" ht="20.25">
      <c r="A37" s="38"/>
      <c r="B37" s="39">
        <f>(WG_a/PI())*ASIN(SQRT(Y))</f>
        <v>2.808371703773697</v>
      </c>
      <c r="C37" s="40" t="s">
        <v>6</v>
      </c>
      <c r="D37" s="41"/>
      <c r="E37" s="40"/>
      <c r="F37" s="22"/>
      <c r="G37" s="42">
        <f>(WG_a/PI())*ASIN(SQRT(New_Y))</f>
        <v>3.1015245307791477</v>
      </c>
      <c r="H37" s="40" t="s">
        <v>6</v>
      </c>
      <c r="I37" s="41"/>
      <c r="J37" s="40"/>
      <c r="K37" s="37"/>
    </row>
    <row r="38" spans="1:11" ht="12.75">
      <c r="A38" s="24"/>
      <c r="B38" s="26"/>
      <c r="C38" s="22"/>
      <c r="D38" s="27"/>
      <c r="E38" s="22"/>
      <c r="F38" s="22"/>
      <c r="G38" s="22"/>
      <c r="H38" s="22"/>
      <c r="I38" s="22"/>
      <c r="J38" s="22"/>
      <c r="K38" s="23"/>
    </row>
    <row r="39" spans="1:11" s="1" customFormat="1" ht="15.75">
      <c r="A39" s="28" t="s">
        <v>16</v>
      </c>
      <c r="B39" s="29"/>
      <c r="C39" s="30"/>
      <c r="D39" s="31"/>
      <c r="E39" s="30"/>
      <c r="F39" s="30"/>
      <c r="G39" s="30"/>
      <c r="H39" s="30"/>
      <c r="I39" s="30"/>
      <c r="J39" s="30"/>
      <c r="K39" s="43"/>
    </row>
    <row r="40" spans="1:11" ht="12.75">
      <c r="A40" s="24" t="s">
        <v>3</v>
      </c>
      <c r="B40" s="26">
        <f>ATAN(Y/SQRT(1-Y^2))</f>
        <v>0.1161397855086199</v>
      </c>
      <c r="C40" s="22" t="s">
        <v>6</v>
      </c>
      <c r="D40" s="27"/>
      <c r="E40" s="22"/>
      <c r="F40" s="22"/>
      <c r="G40" s="22"/>
      <c r="H40" s="22"/>
      <c r="I40" s="22"/>
      <c r="J40" s="22"/>
      <c r="K40" s="23"/>
    </row>
    <row r="41" spans="1:11" ht="12.75">
      <c r="A41" s="24" t="s">
        <v>4</v>
      </c>
      <c r="B41" s="26">
        <f>(WG_a/PI())*SQRT(AG)</f>
        <v>2.755334649876961</v>
      </c>
      <c r="C41" s="22" t="s">
        <v>6</v>
      </c>
      <c r="D41" s="27"/>
      <c r="E41" s="22"/>
      <c r="F41" s="22"/>
      <c r="G41" s="22"/>
      <c r="H41" s="22"/>
      <c r="I41" s="22"/>
      <c r="J41" s="22"/>
      <c r="K41" s="23"/>
    </row>
    <row r="42" spans="1:11" ht="12.75">
      <c r="A42" s="24"/>
      <c r="B42" s="26"/>
      <c r="C42" s="22"/>
      <c r="D42" s="27"/>
      <c r="E42" s="22"/>
      <c r="F42" s="22"/>
      <c r="G42" s="22"/>
      <c r="H42" s="22"/>
      <c r="I42" s="22"/>
      <c r="J42" s="22"/>
      <c r="K42" s="23"/>
    </row>
    <row r="43" spans="1:11" ht="12.75">
      <c r="A43" s="28" t="s">
        <v>18</v>
      </c>
      <c r="B43" s="22"/>
      <c r="C43" s="22"/>
      <c r="D43" s="22"/>
      <c r="E43" s="22"/>
      <c r="F43" s="22"/>
      <c r="G43" s="22"/>
      <c r="H43" s="22"/>
      <c r="I43" s="22"/>
      <c r="J43" s="22"/>
      <c r="K43" s="23"/>
    </row>
    <row r="44" spans="1:11" ht="12.75">
      <c r="A44" s="24" t="s">
        <v>21</v>
      </c>
      <c r="B44" s="22"/>
      <c r="C44" s="22"/>
      <c r="D44" s="22"/>
      <c r="E44" s="22"/>
      <c r="F44" s="22"/>
      <c r="G44" s="19">
        <f>0.210324*G_2_slot^4-0.338065*G_2_slot^3+0.12712*G_2_slot^2+0.034433*G_2_slot+0.48253</f>
        <v>0.4845285064</v>
      </c>
      <c r="H44" s="22"/>
      <c r="I44" s="22"/>
      <c r="J44" s="22"/>
      <c r="K44" s="23"/>
    </row>
    <row r="45" spans="1:11" ht="12.75">
      <c r="A45" s="24" t="s">
        <v>19</v>
      </c>
      <c r="B45" s="22"/>
      <c r="C45" s="22"/>
      <c r="D45" s="22"/>
      <c r="E45" s="22"/>
      <c r="F45" s="22"/>
      <c r="G45" s="34">
        <f>lam_zero*Slot_wl</f>
        <v>14.335162911242604</v>
      </c>
      <c r="H45" s="35" t="s">
        <v>6</v>
      </c>
      <c r="I45" s="36"/>
      <c r="J45" s="35"/>
      <c r="K45" s="23"/>
    </row>
    <row r="46" spans="1:11" ht="12.75">
      <c r="A46" s="24"/>
      <c r="B46" s="22"/>
      <c r="C46" s="22"/>
      <c r="D46" s="22"/>
      <c r="E46" s="22"/>
      <c r="F46" s="22"/>
      <c r="G46" s="22"/>
      <c r="H46" s="22"/>
      <c r="I46" s="22"/>
      <c r="J46" s="22"/>
      <c r="K46" s="23"/>
    </row>
    <row r="47" spans="1:11" ht="12.75">
      <c r="A47" s="24"/>
      <c r="B47" s="22"/>
      <c r="C47" s="22"/>
      <c r="D47" s="22"/>
      <c r="E47" s="22"/>
      <c r="F47" s="22"/>
      <c r="G47" s="22"/>
      <c r="H47" s="22"/>
      <c r="I47" s="22"/>
      <c r="J47" s="22"/>
      <c r="K47" s="23"/>
    </row>
    <row r="48" spans="1:11" ht="12.75">
      <c r="A48" s="24" t="s">
        <v>28</v>
      </c>
      <c r="B48" s="22"/>
      <c r="C48" s="22"/>
      <c r="D48" s="22"/>
      <c r="E48" s="22"/>
      <c r="F48" s="22"/>
      <c r="G48" s="22"/>
      <c r="H48" s="22"/>
      <c r="I48" s="22"/>
      <c r="J48" s="22"/>
      <c r="K48" s="23"/>
    </row>
    <row r="49" spans="1:11" ht="13.5" thickBot="1">
      <c r="A49" s="44" t="s">
        <v>27</v>
      </c>
      <c r="B49" s="45"/>
      <c r="C49" s="45"/>
      <c r="D49" s="45"/>
      <c r="E49" s="45"/>
      <c r="F49" s="45"/>
      <c r="G49" s="45"/>
      <c r="H49" s="45"/>
      <c r="I49" s="45"/>
      <c r="J49" s="45"/>
      <c r="K49" s="46"/>
    </row>
    <row r="52" spans="1:11" ht="12.75">
      <c r="A52" s="91" t="s">
        <v>52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</row>
  </sheetData>
  <mergeCells count="4">
    <mergeCell ref="B12:C12"/>
    <mergeCell ref="G12:H12"/>
    <mergeCell ref="B13:C13"/>
    <mergeCell ref="G13:H13"/>
  </mergeCells>
  <hyperlinks>
    <hyperlink ref="A52" r:id="rId1" display="https://www.aluminium-online-shop.de/de/shop-aluminium-kleinstmengen/-Rechteckrohre---Vierkantrohre-_-20/index.html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"/>
  <sheetViews>
    <sheetView workbookViewId="0" topLeftCell="A16">
      <selection activeCell="A1" sqref="A1:G1"/>
    </sheetView>
  </sheetViews>
  <sheetFormatPr defaultColWidth="11.421875" defaultRowHeight="12.75"/>
  <sheetData>
    <row r="1" spans="1:8" ht="12.75">
      <c r="A1" s="100" t="s">
        <v>42</v>
      </c>
      <c r="B1" s="97"/>
      <c r="C1" s="97"/>
      <c r="D1" s="97"/>
      <c r="E1" s="97"/>
      <c r="F1" s="97"/>
      <c r="G1" s="97"/>
      <c r="H1" s="91"/>
    </row>
  </sheetData>
  <mergeCells count="1">
    <mergeCell ref="A1:G1"/>
  </mergeCells>
  <hyperlinks>
    <hyperlink ref="A1" r:id="rId1" display="http://www.funkbetrieb.de/schlitzstrahler.159.de.html?bab[idx]=0"/>
  </hyperlinks>
  <printOptions/>
  <pageMargins left="0.75" right="0.75" top="1" bottom="1" header="0.4921259845" footer="0.492125984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3Com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3Com Corporation</dc:creator>
  <cp:keywords/>
  <dc:description/>
  <cp:lastModifiedBy>Erkens</cp:lastModifiedBy>
  <cp:lastPrinted>2002-05-30T21:28:54Z</cp:lastPrinted>
  <dcterms:created xsi:type="dcterms:W3CDTF">1999-12-23T15:44:11Z</dcterms:created>
  <dcterms:modified xsi:type="dcterms:W3CDTF">2016-11-04T16:16:30Z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